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700" activeTab="0"/>
  </bookViews>
  <sheets>
    <sheet name="Sheet1" sheetId="1" r:id="rId1"/>
  </sheets>
  <definedNames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<sst xmlns="http://schemas.openxmlformats.org/spreadsheetml/2006/main" count="60" uniqueCount="55">
  <si>
    <t>Approved Budget 10/11</t>
  </si>
  <si>
    <t>Spend</t>
  </si>
  <si>
    <t>Income</t>
  </si>
  <si>
    <t>Expenditure 10/11</t>
  </si>
  <si>
    <t>Variance At Year End 10/11</t>
  </si>
  <si>
    <t>People and Equalities</t>
  </si>
  <si>
    <t>Law and Governance</t>
  </si>
  <si>
    <t>Chief Executive</t>
  </si>
  <si>
    <t>Policy, Culture &amp; Communication</t>
  </si>
  <si>
    <t>City Development</t>
  </si>
  <si>
    <t>Community Housing &amp; Development</t>
  </si>
  <si>
    <t>Corporate Assets</t>
  </si>
  <si>
    <t>City Regeneration</t>
  </si>
  <si>
    <t>Environmental Development</t>
  </si>
  <si>
    <t>Customer Services</t>
  </si>
  <si>
    <t>City Leisure</t>
  </si>
  <si>
    <t>Direct Services</t>
  </si>
  <si>
    <t>City Services</t>
  </si>
  <si>
    <t>Finance</t>
  </si>
  <si>
    <t>Finance &amp; Efficiency</t>
  </si>
  <si>
    <t>Total Excluding SLAs And Capital Charges</t>
  </si>
  <si>
    <t>SLAs And Capital Charges</t>
  </si>
  <si>
    <t>Local Cost Of Benefits</t>
  </si>
  <si>
    <t>CDC &amp; NDC</t>
  </si>
  <si>
    <t>Income &amp; Expenditure A/c</t>
  </si>
  <si>
    <t>SMGFB</t>
  </si>
  <si>
    <t>Concessionary Fares</t>
  </si>
  <si>
    <t>Transformation Fund</t>
  </si>
  <si>
    <t>Investment Income</t>
  </si>
  <si>
    <t>Interest Payable</t>
  </si>
  <si>
    <t>Removal of 0.5% 10/11 Employee Inflation</t>
  </si>
  <si>
    <t>Transfer to Capital Reserves</t>
  </si>
  <si>
    <t>Item 8 Interest Receivable</t>
  </si>
  <si>
    <t>Corporate Line</t>
  </si>
  <si>
    <t>Net General Fund</t>
  </si>
  <si>
    <t>(Use of)/ transfer to  Balances</t>
  </si>
  <si>
    <t>Net Budget Requirement</t>
  </si>
  <si>
    <t>External Funding</t>
  </si>
  <si>
    <t>Less: Assumed Parish Precepts</t>
  </si>
  <si>
    <t>LABGI</t>
  </si>
  <si>
    <t>Collection Fund surplus</t>
  </si>
  <si>
    <t xml:space="preserve">Transfer to/from Reserves </t>
  </si>
  <si>
    <t>Total Funding Available</t>
  </si>
  <si>
    <t>General Fund Total</t>
  </si>
  <si>
    <t>Variance as at Feb 28th 2011</t>
  </si>
  <si>
    <t>Variance to outturn as at Feb 28th 2011</t>
  </si>
  <si>
    <t>Procurement</t>
  </si>
  <si>
    <t>Business Transformation</t>
  </si>
  <si>
    <t>Working Balance</t>
  </si>
  <si>
    <t>1st April 2010</t>
  </si>
  <si>
    <t>Transfers in</t>
  </si>
  <si>
    <t>31st March 2011</t>
  </si>
  <si>
    <t>Directorates</t>
  </si>
  <si>
    <t>£000's</t>
  </si>
  <si>
    <t>Council Tax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</si>
</sst>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_);[Red]\(#,##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0" xfId="0" applyFont="1" applyFill="1" applyAlignment="1">
      <alignment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vertical="top"/>
    </xf>
    <xf numFmtId="0" fontId="1" fillId="2" borderId="0" xfId="0" applyFont="1" applyFill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1" fillId="2" borderId="0" xfId="0" applyFont="1" applyFill="1" applyAlignment="1">
      <alignment horizontal="left" vertical="top"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64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38" fontId="0" fillId="2" borderId="0" xfId="0" applyNumberFormat="1" applyFill="1" applyAlignment="1">
      <alignment/>
    </xf>
    <xf numFmtId="164" fontId="0" fillId="2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Border="1" applyAlignment="1">
      <alignment/>
    </xf>
    <xf numFmtId="164" fontId="0" fillId="2" borderId="1" xfId="0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165" fontId="2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0" fillId="2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>
      <alignment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3" borderId="4" xfId="0" applyNumberFormat="1" applyFont="1" applyFill="1" applyBorder="1" applyAlignment="1">
      <alignment horizontal="center" vertical="top" wrapText="1"/>
    </xf>
    <xf numFmtId="165" fontId="1" fillId="3" borderId="5" xfId="0" applyNumberFormat="1" applyFont="1" applyFill="1" applyBorder="1" applyAlignment="1">
      <alignment vertical="top" wrapText="1"/>
    </xf>
    <xf numFmtId="165" fontId="1" fillId="3" borderId="5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0" fillId="2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pane ySplit="2" topLeftCell="BM36" activePane="bottomLeft" state="frozen"/>
      <selection pane="topLeft" activeCell="A1" sqref="A1"/>
      <selection pane="bottomLeft" activeCell="B57" sqref="B57"/>
    </sheetView>
  </sheetViews>
  <sheetFormatPr defaultColWidth="9.140625" defaultRowHeight="12.75" outlineLevelRow="1"/>
  <cols>
    <col min="1" max="1" width="40.421875" style="1" bestFit="1" customWidth="1"/>
    <col min="2" max="2" width="13.421875" style="2" customWidth="1"/>
    <col min="3" max="3" width="2.57421875" style="2" hidden="1" customWidth="1"/>
    <col min="4" max="4" width="13.00390625" style="2" hidden="1" customWidth="1"/>
    <col min="5" max="5" width="3.421875" style="2" hidden="1" customWidth="1"/>
    <col min="6" max="6" width="12.8515625" style="2" hidden="1" customWidth="1"/>
    <col min="7" max="7" width="13.00390625" style="2" hidden="1" customWidth="1"/>
    <col min="8" max="8" width="13.00390625" style="2" customWidth="1"/>
    <col min="9" max="10" width="12.7109375" style="1" bestFit="1" customWidth="1"/>
    <col min="11" max="11" width="14.00390625" style="38" customWidth="1"/>
    <col min="12" max="16384" width="9.140625" style="1" customWidth="1"/>
  </cols>
  <sheetData>
    <row r="1" spans="1:11" ht="38.25">
      <c r="A1" s="4"/>
      <c r="B1" s="46" t="s">
        <v>0</v>
      </c>
      <c r="C1" s="47"/>
      <c r="D1" s="46" t="s">
        <v>1</v>
      </c>
      <c r="E1" s="48"/>
      <c r="F1" s="46" t="s">
        <v>2</v>
      </c>
      <c r="G1" s="46" t="s">
        <v>2</v>
      </c>
      <c r="H1" s="46" t="s">
        <v>3</v>
      </c>
      <c r="I1" s="46" t="s">
        <v>4</v>
      </c>
      <c r="J1" s="46" t="s">
        <v>44</v>
      </c>
      <c r="K1" s="49" t="s">
        <v>45</v>
      </c>
    </row>
    <row r="2" spans="1:11" ht="12.75">
      <c r="A2" s="4"/>
      <c r="B2" s="45" t="s">
        <v>53</v>
      </c>
      <c r="C2" s="50"/>
      <c r="D2" s="45"/>
      <c r="E2" s="51"/>
      <c r="F2" s="45"/>
      <c r="G2" s="45"/>
      <c r="H2" s="45" t="s">
        <v>53</v>
      </c>
      <c r="I2" s="45" t="s">
        <v>53</v>
      </c>
      <c r="J2" s="45" t="s">
        <v>53</v>
      </c>
      <c r="K2" s="45" t="s">
        <v>53</v>
      </c>
    </row>
    <row r="3" spans="1:11" ht="12.75">
      <c r="A3" s="7" t="s">
        <v>52</v>
      </c>
      <c r="B3" s="5"/>
      <c r="C3" s="52"/>
      <c r="D3" s="5"/>
      <c r="E3" s="6"/>
      <c r="F3" s="5"/>
      <c r="G3" s="5"/>
      <c r="H3" s="5"/>
      <c r="I3" s="5"/>
      <c r="J3" s="8"/>
      <c r="K3" s="9"/>
    </row>
    <row r="4" spans="1:11" s="10" customFormat="1" ht="12.75" outlineLevel="1">
      <c r="A4" s="10" t="s">
        <v>5</v>
      </c>
      <c r="B4" s="12">
        <v>1309.981</v>
      </c>
      <c r="C4" s="13"/>
      <c r="D4" s="12">
        <v>1441436.48</v>
      </c>
      <c r="E4" s="13"/>
      <c r="F4" s="12">
        <v>-4786.97</v>
      </c>
      <c r="G4" s="12">
        <f>-F4</f>
        <v>4786.97</v>
      </c>
      <c r="H4" s="12">
        <f>(D4+F4)/1000</f>
        <v>1436.64951</v>
      </c>
      <c r="I4" s="12">
        <f>H4-B4</f>
        <v>126.66850999999997</v>
      </c>
      <c r="J4" s="12">
        <v>168</v>
      </c>
      <c r="K4" s="11">
        <f>+I4-J4</f>
        <v>-41.33149000000003</v>
      </c>
    </row>
    <row r="5" spans="1:11" s="10" customFormat="1" ht="12.75" outlineLevel="1">
      <c r="A5" s="10" t="s">
        <v>6</v>
      </c>
      <c r="B5" s="12">
        <v>2775.143</v>
      </c>
      <c r="C5" s="13"/>
      <c r="D5" s="12">
        <v>2932697.04</v>
      </c>
      <c r="E5" s="13"/>
      <c r="F5" s="12">
        <v>-231909.5</v>
      </c>
      <c r="G5" s="12">
        <f>-F5</f>
        <v>231909.5</v>
      </c>
      <c r="H5" s="12">
        <f>(D5+F5)/1000</f>
        <v>2700.7875400000003</v>
      </c>
      <c r="I5" s="12">
        <f>H5-B5</f>
        <v>-74.35545999999977</v>
      </c>
      <c r="J5" s="12">
        <v>-43</v>
      </c>
      <c r="K5" s="11">
        <f>+I5-J5</f>
        <v>-31.355459999999766</v>
      </c>
    </row>
    <row r="6" spans="1:11" s="7" customFormat="1" ht="12.75">
      <c r="A6" s="7" t="s">
        <v>7</v>
      </c>
      <c r="B6" s="14">
        <f>SUBTOTAL(9,B4:B5)</f>
        <v>4085.124</v>
      </c>
      <c r="C6" s="15"/>
      <c r="D6" s="14">
        <f>SUBTOTAL(9,D4:D5)</f>
        <v>4374133.52</v>
      </c>
      <c r="E6" s="15"/>
      <c r="F6" s="14">
        <f aca="true" t="shared" si="0" ref="F6:K6">SUBTOTAL(9,F4:F5)</f>
        <v>-236696.47</v>
      </c>
      <c r="G6" s="14">
        <f t="shared" si="0"/>
        <v>236696.47</v>
      </c>
      <c r="H6" s="14">
        <f t="shared" si="0"/>
        <v>4137.43705</v>
      </c>
      <c r="I6" s="14">
        <f t="shared" si="0"/>
        <v>52.3130500000002</v>
      </c>
      <c r="J6" s="14">
        <f t="shared" si="0"/>
        <v>125</v>
      </c>
      <c r="K6" s="14">
        <f t="shared" si="0"/>
        <v>-72.6869499999998</v>
      </c>
    </row>
    <row r="7" spans="1:11" s="10" customFormat="1" ht="12.75" outlineLevel="1">
      <c r="A7" s="10" t="s">
        <v>8</v>
      </c>
      <c r="B7" s="12">
        <v>1157.081999999983</v>
      </c>
      <c r="C7" s="13"/>
      <c r="D7" s="12">
        <v>1743971.3</v>
      </c>
      <c r="E7" s="13"/>
      <c r="F7" s="12">
        <v>-692848.17</v>
      </c>
      <c r="G7" s="12">
        <f>-F7</f>
        <v>692848.17</v>
      </c>
      <c r="H7" s="12">
        <f>(D7+F7)/1000</f>
        <v>1051.12313</v>
      </c>
      <c r="I7" s="12">
        <f>H7-B7</f>
        <v>-105.95886999998311</v>
      </c>
      <c r="J7" s="12">
        <v>-89</v>
      </c>
      <c r="K7" s="11">
        <f>+I7-J7</f>
        <v>-16.958869999983108</v>
      </c>
    </row>
    <row r="8" spans="1:11" s="10" customFormat="1" ht="12.75" outlineLevel="1">
      <c r="A8" s="10" t="s">
        <v>9</v>
      </c>
      <c r="B8" s="12">
        <v>1527.2569999999935</v>
      </c>
      <c r="C8" s="13"/>
      <c r="D8" s="12">
        <f>4287425.71999999+16.8</f>
        <v>4287442.51999999</v>
      </c>
      <c r="E8" s="13"/>
      <c r="F8" s="12">
        <v>-2734150.6</v>
      </c>
      <c r="G8" s="12">
        <f>-F8</f>
        <v>2734150.6</v>
      </c>
      <c r="H8" s="12">
        <f>(D8+F8)/1000</f>
        <v>1553.2919199999901</v>
      </c>
      <c r="I8" s="12">
        <f>H8-B8</f>
        <v>26.034919999996646</v>
      </c>
      <c r="J8" s="12">
        <v>99</v>
      </c>
      <c r="K8" s="11">
        <f>+I8-J8</f>
        <v>-72.96508000000335</v>
      </c>
    </row>
    <row r="9" spans="1:11" s="10" customFormat="1" ht="12.75" outlineLevel="1">
      <c r="A9" s="10" t="s">
        <v>10</v>
      </c>
      <c r="B9" s="12">
        <v>7768.860999999999</v>
      </c>
      <c r="C9" s="13"/>
      <c r="D9" s="12">
        <v>12879338.120000033</v>
      </c>
      <c r="E9" s="13"/>
      <c r="F9" s="12">
        <v>-6033551.310000001</v>
      </c>
      <c r="G9" s="12">
        <f>-F9</f>
        <v>6033551.310000001</v>
      </c>
      <c r="H9" s="12">
        <f>(D9+F9)/1000</f>
        <v>6845.786810000031</v>
      </c>
      <c r="I9" s="12">
        <f>H9-B9</f>
        <v>-923.0741899999675</v>
      </c>
      <c r="J9" s="12">
        <v>-727.376</v>
      </c>
      <c r="K9" s="11">
        <f>+I9-J9</f>
        <v>-195.69818999996755</v>
      </c>
    </row>
    <row r="10" spans="1:11" s="10" customFormat="1" ht="12.75" outlineLevel="1">
      <c r="A10" s="10" t="s">
        <v>11</v>
      </c>
      <c r="B10" s="12">
        <v>-3167.225</v>
      </c>
      <c r="C10" s="13"/>
      <c r="D10" s="12">
        <v>4180910.850000005</v>
      </c>
      <c r="E10" s="13"/>
      <c r="F10" s="12">
        <v>-7412609.109999999</v>
      </c>
      <c r="G10" s="12">
        <f>-F10</f>
        <v>7412609.109999999</v>
      </c>
      <c r="H10" s="12">
        <f>(D10+F10)/1000</f>
        <v>-3231.698259999994</v>
      </c>
      <c r="I10" s="12">
        <f>H10-B10</f>
        <v>-64.4732599999943</v>
      </c>
      <c r="J10" s="12">
        <v>8</v>
      </c>
      <c r="K10" s="11">
        <f>+I10-J10</f>
        <v>-72.4732599999943</v>
      </c>
    </row>
    <row r="11" spans="1:11" s="7" customFormat="1" ht="12.75">
      <c r="A11" s="7" t="s">
        <v>12</v>
      </c>
      <c r="B11" s="14">
        <f>SUBTOTAL(9,B7:B10)</f>
        <v>7285.974999999975</v>
      </c>
      <c r="C11" s="15"/>
      <c r="D11" s="14">
        <f>SUBTOTAL(9,D7:D10)</f>
        <v>23091662.79000003</v>
      </c>
      <c r="E11" s="15"/>
      <c r="F11" s="14">
        <f aca="true" t="shared" si="1" ref="F11:K11">SUBTOTAL(9,F7:F10)</f>
        <v>-16873159.19</v>
      </c>
      <c r="G11" s="14">
        <f t="shared" si="1"/>
        <v>16873159.19</v>
      </c>
      <c r="H11" s="14">
        <f t="shared" si="1"/>
        <v>6218.503600000027</v>
      </c>
      <c r="I11" s="14">
        <f t="shared" si="1"/>
        <v>-1067.4713999999483</v>
      </c>
      <c r="J11" s="14">
        <f t="shared" si="1"/>
        <v>-709.376</v>
      </c>
      <c r="K11" s="14">
        <f t="shared" si="1"/>
        <v>-358.0953999999483</v>
      </c>
    </row>
    <row r="12" spans="1:11" s="10" customFormat="1" ht="12.75" outlineLevel="1">
      <c r="A12" s="10" t="s">
        <v>13</v>
      </c>
      <c r="B12" s="12">
        <v>1933.366</v>
      </c>
      <c r="C12" s="13"/>
      <c r="D12" s="12">
        <v>2937520.52</v>
      </c>
      <c r="E12" s="13"/>
      <c r="F12" s="12">
        <v>-1033463.62</v>
      </c>
      <c r="G12" s="12">
        <f>-F12</f>
        <v>1033463.62</v>
      </c>
      <c r="H12" s="12">
        <f>(D12+F12)/1000</f>
        <v>1904.0568999999998</v>
      </c>
      <c r="I12" s="12">
        <f>H12-B12</f>
        <v>-29.30910000000017</v>
      </c>
      <c r="J12" s="12">
        <v>-45</v>
      </c>
      <c r="K12" s="11">
        <f>+I12-J12</f>
        <v>15.690899999999829</v>
      </c>
    </row>
    <row r="13" spans="1:11" s="10" customFormat="1" ht="12.75" outlineLevel="1">
      <c r="A13" s="10" t="s">
        <v>14</v>
      </c>
      <c r="B13" s="12">
        <v>2304.086000000006</v>
      </c>
      <c r="C13" s="13"/>
      <c r="D13" s="12">
        <v>4148151.94</v>
      </c>
      <c r="E13" s="13"/>
      <c r="F13" s="12">
        <v>-1588675</v>
      </c>
      <c r="G13" s="12">
        <f>-F13</f>
        <v>1588675</v>
      </c>
      <c r="H13" s="12">
        <f>(D13+F13)/1000</f>
        <v>2559.47694</v>
      </c>
      <c r="I13" s="12">
        <f>H13-B13</f>
        <v>255.39093999999386</v>
      </c>
      <c r="J13" s="12">
        <v>225.359</v>
      </c>
      <c r="K13" s="11">
        <f>+I13-J13</f>
        <v>30.031939999993853</v>
      </c>
    </row>
    <row r="14" spans="1:11" s="10" customFormat="1" ht="12.75" outlineLevel="1">
      <c r="A14" s="10" t="s">
        <v>15</v>
      </c>
      <c r="B14" s="12">
        <v>4246.993000000041</v>
      </c>
      <c r="C14" s="13"/>
      <c r="D14" s="12">
        <v>5759886.000000003</v>
      </c>
      <c r="E14" s="13"/>
      <c r="F14" s="12">
        <v>-2153684.13</v>
      </c>
      <c r="G14" s="12">
        <f>-F14</f>
        <v>2153684.13</v>
      </c>
      <c r="H14" s="12">
        <f>(D14+F14)/1000</f>
        <v>3606.201870000003</v>
      </c>
      <c r="I14" s="12">
        <f>H14-B14</f>
        <v>-640.7911300000383</v>
      </c>
      <c r="J14" s="12">
        <v>-330</v>
      </c>
      <c r="K14" s="11">
        <f>+I14-J14</f>
        <v>-310.79113000003827</v>
      </c>
    </row>
    <row r="15" spans="1:11" s="10" customFormat="1" ht="12.75" outlineLevel="1">
      <c r="A15" s="10" t="s">
        <v>16</v>
      </c>
      <c r="B15" s="12">
        <v>563.950999999918</v>
      </c>
      <c r="C15" s="13"/>
      <c r="D15" s="12">
        <v>18129610.089999966</v>
      </c>
      <c r="E15" s="13"/>
      <c r="F15" s="12">
        <v>-16781259.350000016</v>
      </c>
      <c r="G15" s="12">
        <f>-F15</f>
        <v>16781259.350000016</v>
      </c>
      <c r="H15" s="12">
        <f>(D15+F15)/1000</f>
        <v>1348.3507399999498</v>
      </c>
      <c r="I15" s="12">
        <f>H15-B15</f>
        <v>784.3997400000318</v>
      </c>
      <c r="J15" s="12">
        <v>800</v>
      </c>
      <c r="K15" s="11">
        <f>+I15-J15</f>
        <v>-15.600259999968216</v>
      </c>
    </row>
    <row r="16" spans="1:11" s="7" customFormat="1" ht="12.75">
      <c r="A16" s="7" t="s">
        <v>17</v>
      </c>
      <c r="B16" s="14">
        <f>SUBTOTAL(9,B12:B15)</f>
        <v>9048.395999999964</v>
      </c>
      <c r="C16" s="15"/>
      <c r="D16" s="14">
        <f>SUBTOTAL(9,D12:D15)</f>
        <v>30975168.549999967</v>
      </c>
      <c r="E16" s="15"/>
      <c r="F16" s="14">
        <f aca="true" t="shared" si="2" ref="F16:K16">SUBTOTAL(9,F12:F15)</f>
        <v>-21557082.100000016</v>
      </c>
      <c r="G16" s="14">
        <f t="shared" si="2"/>
        <v>21557082.100000016</v>
      </c>
      <c r="H16" s="14">
        <f t="shared" si="2"/>
        <v>9418.086449999952</v>
      </c>
      <c r="I16" s="14">
        <f t="shared" si="2"/>
        <v>369.6904499999872</v>
      </c>
      <c r="J16" s="14">
        <f t="shared" si="2"/>
        <v>650.359</v>
      </c>
      <c r="K16" s="14">
        <f t="shared" si="2"/>
        <v>-280.66855000001283</v>
      </c>
    </row>
    <row r="17" spans="1:11" s="10" customFormat="1" ht="12.75" outlineLevel="1">
      <c r="A17" s="10" t="s">
        <v>46</v>
      </c>
      <c r="B17" s="12">
        <v>78.314</v>
      </c>
      <c r="C17" s="13"/>
      <c r="D17" s="12">
        <v>301554</v>
      </c>
      <c r="E17" s="13"/>
      <c r="F17" s="12">
        <v>-134500</v>
      </c>
      <c r="G17" s="12">
        <f>-F17</f>
        <v>134500</v>
      </c>
      <c r="H17" s="12">
        <f>(D17+F17)/1000</f>
        <v>167.054</v>
      </c>
      <c r="I17" s="12">
        <f>H17-B17</f>
        <v>88.74000000000001</v>
      </c>
      <c r="J17" s="12">
        <v>74</v>
      </c>
      <c r="K17" s="11">
        <f>+I17-J17</f>
        <v>14.740000000000009</v>
      </c>
    </row>
    <row r="18" spans="1:11" s="10" customFormat="1" ht="12.75" outlineLevel="1">
      <c r="A18" s="10" t="s">
        <v>47</v>
      </c>
      <c r="B18" s="12">
        <v>1453.477</v>
      </c>
      <c r="C18" s="13"/>
      <c r="D18" s="12">
        <v>1664709</v>
      </c>
      <c r="E18" s="13"/>
      <c r="F18" s="12">
        <v>-192528</v>
      </c>
      <c r="G18" s="12">
        <f>-F18</f>
        <v>192528</v>
      </c>
      <c r="H18" s="12">
        <f>(D18+F18)/1000</f>
        <v>1472.181</v>
      </c>
      <c r="I18" s="12">
        <f>H18-B18</f>
        <v>18.70399999999995</v>
      </c>
      <c r="J18" s="12">
        <v>-24</v>
      </c>
      <c r="K18" s="11">
        <f>+I18-J18</f>
        <v>42.70399999999995</v>
      </c>
    </row>
    <row r="19" spans="1:11" s="10" customFormat="1" ht="12.75" outlineLevel="1">
      <c r="A19" s="10" t="s">
        <v>18</v>
      </c>
      <c r="B19" s="12">
        <v>1864.071</v>
      </c>
      <c r="C19" s="13"/>
      <c r="D19" s="12">
        <v>2449283.82</v>
      </c>
      <c r="E19" s="13"/>
      <c r="F19" s="12">
        <v>-541694.63</v>
      </c>
      <c r="G19" s="12">
        <f>-F19</f>
        <v>541694.63</v>
      </c>
      <c r="H19" s="12">
        <f>(D19+F19)/1000</f>
        <v>1907.58919</v>
      </c>
      <c r="I19" s="12">
        <f>H19-B19</f>
        <v>43.518190000000004</v>
      </c>
      <c r="J19" s="12">
        <v>70</v>
      </c>
      <c r="K19" s="11">
        <f>+I19-J19</f>
        <v>-26.481809999999996</v>
      </c>
    </row>
    <row r="20" spans="1:11" s="7" customFormat="1" ht="12.75">
      <c r="A20" s="7" t="s">
        <v>19</v>
      </c>
      <c r="B20" s="14">
        <f>SUBTOTAL(9,B17:B19)</f>
        <v>3395.862</v>
      </c>
      <c r="C20" s="15"/>
      <c r="D20" s="14">
        <f>SUBTOTAL(9,D17:D19)</f>
        <v>4415546.82</v>
      </c>
      <c r="E20" s="15"/>
      <c r="F20" s="14">
        <f aca="true" t="shared" si="3" ref="F20:K20">SUBTOTAL(9,F17:F19)</f>
        <v>-868722.63</v>
      </c>
      <c r="G20" s="14">
        <f t="shared" si="3"/>
        <v>868722.63</v>
      </c>
      <c r="H20" s="14">
        <f t="shared" si="3"/>
        <v>3546.8241900000003</v>
      </c>
      <c r="I20" s="14">
        <f t="shared" si="3"/>
        <v>150.96218999999996</v>
      </c>
      <c r="J20" s="14">
        <f t="shared" si="3"/>
        <v>120</v>
      </c>
      <c r="K20" s="14">
        <f t="shared" si="3"/>
        <v>30.962189999999964</v>
      </c>
    </row>
    <row r="21" spans="2:11" s="10" customFormat="1" ht="12.75">
      <c r="B21" s="12"/>
      <c r="C21" s="13"/>
      <c r="D21" s="12"/>
      <c r="E21" s="13"/>
      <c r="F21" s="12"/>
      <c r="G21" s="12"/>
      <c r="H21" s="12"/>
      <c r="I21" s="12"/>
      <c r="J21" s="12"/>
      <c r="K21" s="11"/>
    </row>
    <row r="22" spans="1:11" s="16" customFormat="1" ht="12.75">
      <c r="A22" s="7" t="s">
        <v>20</v>
      </c>
      <c r="B22" s="17">
        <f>SUM(B4:B20)/2</f>
        <v>23815.356999999934</v>
      </c>
      <c r="C22" s="18"/>
      <c r="D22" s="17">
        <f>SUM(D4:D20)/2</f>
        <v>62856511.67999999</v>
      </c>
      <c r="E22" s="18"/>
      <c r="F22" s="17">
        <f aca="true" t="shared" si="4" ref="F22:K22">SUM(F4:F20)/2</f>
        <v>-39535660.390000015</v>
      </c>
      <c r="G22" s="17">
        <f t="shared" si="4"/>
        <v>39535660.390000015</v>
      </c>
      <c r="H22" s="17">
        <f t="shared" si="4"/>
        <v>23320.85128999998</v>
      </c>
      <c r="I22" s="17">
        <f t="shared" si="4"/>
        <v>-494.5057099999608</v>
      </c>
      <c r="J22" s="17">
        <f t="shared" si="4"/>
        <v>185.983</v>
      </c>
      <c r="K22" s="17">
        <f t="shared" si="4"/>
        <v>-680.4887099999611</v>
      </c>
    </row>
    <row r="23" spans="2:11" ht="12.75">
      <c r="B23" s="8"/>
      <c r="C23" s="19"/>
      <c r="D23" s="8"/>
      <c r="E23" s="19"/>
      <c r="F23" s="8"/>
      <c r="G23" s="8"/>
      <c r="H23" s="8"/>
      <c r="I23" s="12"/>
      <c r="J23" s="12"/>
      <c r="K23" s="11"/>
    </row>
    <row r="24" spans="1:11" s="16" customFormat="1" ht="12.75">
      <c r="A24" s="20" t="s">
        <v>21</v>
      </c>
      <c r="B24" s="17">
        <v>-1480.959</v>
      </c>
      <c r="C24" s="18"/>
      <c r="D24" s="17">
        <v>15213797.06999998</v>
      </c>
      <c r="E24" s="18"/>
      <c r="F24" s="17">
        <v>-16670544.94</v>
      </c>
      <c r="G24" s="17">
        <f>-F24</f>
        <v>16670544.94</v>
      </c>
      <c r="H24" s="17">
        <f>(D24+F24)/1000</f>
        <v>-1456.7478700000197</v>
      </c>
      <c r="I24" s="17">
        <f>H24-B24</f>
        <v>24.211129999980358</v>
      </c>
      <c r="J24" s="17">
        <v>17.7</v>
      </c>
      <c r="K24" s="21">
        <f>+I24-J24</f>
        <v>6.5111299999803585</v>
      </c>
    </row>
    <row r="25" spans="1:11" ht="12.75">
      <c r="A25" s="22"/>
      <c r="B25" s="24"/>
      <c r="C25" s="25"/>
      <c r="D25" s="24"/>
      <c r="E25" s="25"/>
      <c r="F25" s="24"/>
      <c r="G25" s="24"/>
      <c r="H25" s="24"/>
      <c r="I25" s="24"/>
      <c r="J25" s="24"/>
      <c r="K25" s="23"/>
    </row>
    <row r="26" spans="1:11" s="10" customFormat="1" ht="12.75" outlineLevel="1">
      <c r="A26" s="10" t="s">
        <v>22</v>
      </c>
      <c r="B26" s="12">
        <v>-109.99999999999255</v>
      </c>
      <c r="C26" s="13"/>
      <c r="D26" s="12">
        <v>69368746.27999999</v>
      </c>
      <c r="E26" s="13"/>
      <c r="F26" s="12">
        <v>-69625067.02999996</v>
      </c>
      <c r="G26" s="12">
        <f aca="true" t="shared" si="5" ref="G26:G36">-F26</f>
        <v>69625067.02999996</v>
      </c>
      <c r="H26" s="12">
        <f aca="true" t="shared" si="6" ref="H26:H36">(D26+F26)/1000</f>
        <v>-256.3207499999702</v>
      </c>
      <c r="I26" s="12">
        <f aca="true" t="shared" si="7" ref="I26:I36">H26-B26</f>
        <v>-146.32074999997764</v>
      </c>
      <c r="J26" s="12">
        <v>-200</v>
      </c>
      <c r="K26" s="11">
        <f aca="true" t="shared" si="8" ref="K26:K36">+I26-J26</f>
        <v>53.679250000022364</v>
      </c>
    </row>
    <row r="27" spans="1:11" s="10" customFormat="1" ht="12.75" outlineLevel="1">
      <c r="A27" s="10" t="s">
        <v>23</v>
      </c>
      <c r="B27" s="12">
        <v>621.501</v>
      </c>
      <c r="C27" s="13"/>
      <c r="D27" s="12">
        <v>946104.98</v>
      </c>
      <c r="E27" s="13"/>
      <c r="F27" s="12">
        <v>0</v>
      </c>
      <c r="G27" s="12">
        <f t="shared" si="5"/>
        <v>0</v>
      </c>
      <c r="H27" s="12">
        <f t="shared" si="6"/>
        <v>946.10498</v>
      </c>
      <c r="I27" s="12">
        <f t="shared" si="7"/>
        <v>324.60398</v>
      </c>
      <c r="J27" s="12">
        <v>186.167</v>
      </c>
      <c r="K27" s="11">
        <f t="shared" si="8"/>
        <v>138.43697999999998</v>
      </c>
    </row>
    <row r="28" spans="1:11" s="10" customFormat="1" ht="12.75" outlineLevel="1">
      <c r="A28" s="10" t="s">
        <v>24</v>
      </c>
      <c r="B28" s="12">
        <f>(-17642483+16766684-171601+1039950)/1000</f>
        <v>-7.45</v>
      </c>
      <c r="C28" s="13"/>
      <c r="D28" s="12">
        <f>270866-196600-74266+2472.22</f>
        <v>2472.22</v>
      </c>
      <c r="E28" s="13"/>
      <c r="F28" s="12">
        <f>-33372836.73+2125968+14640716+708319.87+12557692</f>
        <v>-3340140.8600000013</v>
      </c>
      <c r="G28" s="12">
        <f t="shared" si="5"/>
        <v>3340140.8600000013</v>
      </c>
      <c r="H28" s="12">
        <f t="shared" si="6"/>
        <v>-3337.6686400000012</v>
      </c>
      <c r="I28" s="12">
        <f t="shared" si="7"/>
        <v>-3330.2186400000014</v>
      </c>
      <c r="J28" s="12">
        <v>0</v>
      </c>
      <c r="K28" s="11">
        <f t="shared" si="8"/>
        <v>-3330.2186400000014</v>
      </c>
    </row>
    <row r="29" spans="1:11" s="10" customFormat="1" ht="12.75" outlineLevel="1">
      <c r="A29" s="10" t="s">
        <v>25</v>
      </c>
      <c r="B29" s="12">
        <f>(4423502-1255877+485802+47731-1739579-1138637-18395-1365879+561332)/1000</f>
        <v>0</v>
      </c>
      <c r="C29" s="13"/>
      <c r="D29" s="12">
        <f>8466044.66-1255877+448681.54-52269-49484-1428580-1138637-31190-1353344.3</f>
        <v>3605344.9000000004</v>
      </c>
      <c r="E29" s="13"/>
      <c r="F29" s="12">
        <f>-561332+561332</f>
        <v>0</v>
      </c>
      <c r="G29" s="12">
        <f t="shared" si="5"/>
        <v>0</v>
      </c>
      <c r="H29" s="12">
        <f t="shared" si="6"/>
        <v>3605.3449000000005</v>
      </c>
      <c r="I29" s="12">
        <f t="shared" si="7"/>
        <v>3605.3449000000005</v>
      </c>
      <c r="J29" s="12">
        <v>0</v>
      </c>
      <c r="K29" s="11">
        <f t="shared" si="8"/>
        <v>3605.3449000000005</v>
      </c>
    </row>
    <row r="30" spans="1:11" s="10" customFormat="1" ht="12.75" outlineLevel="1">
      <c r="A30" s="10" t="s">
        <v>26</v>
      </c>
      <c r="B30" s="12">
        <v>1506.519</v>
      </c>
      <c r="C30" s="13"/>
      <c r="D30" s="12">
        <v>4376001.69</v>
      </c>
      <c r="E30" s="13"/>
      <c r="F30" s="12">
        <v>-3144582.77</v>
      </c>
      <c r="G30" s="12">
        <f t="shared" si="5"/>
        <v>3144582.77</v>
      </c>
      <c r="H30" s="12">
        <f t="shared" si="6"/>
        <v>1231.4189200000003</v>
      </c>
      <c r="I30" s="12">
        <f t="shared" si="7"/>
        <v>-275.1000799999997</v>
      </c>
      <c r="J30" s="12">
        <v>-200</v>
      </c>
      <c r="K30" s="11">
        <f t="shared" si="8"/>
        <v>-75.1000799999997</v>
      </c>
    </row>
    <row r="31" spans="1:11" s="10" customFormat="1" ht="12.75" outlineLevel="1">
      <c r="A31" s="10" t="s">
        <v>27</v>
      </c>
      <c r="B31" s="12">
        <f>(-50000+50000+488305)/1000</f>
        <v>488.305</v>
      </c>
      <c r="C31" s="13"/>
      <c r="D31" s="12">
        <f>-50000+50000+624978.8</f>
        <v>624978.8</v>
      </c>
      <c r="E31" s="13"/>
      <c r="F31" s="12">
        <v>0</v>
      </c>
      <c r="G31" s="12">
        <f t="shared" si="5"/>
        <v>0</v>
      </c>
      <c r="H31" s="12">
        <f t="shared" si="6"/>
        <v>624.9788000000001</v>
      </c>
      <c r="I31" s="12">
        <f t="shared" si="7"/>
        <v>136.67380000000009</v>
      </c>
      <c r="J31" s="12">
        <v>90</v>
      </c>
      <c r="K31" s="11">
        <f t="shared" si="8"/>
        <v>46.673800000000085</v>
      </c>
    </row>
    <row r="32" spans="1:11" s="10" customFormat="1" ht="12.75" outlineLevel="1">
      <c r="A32" s="10" t="s">
        <v>28</v>
      </c>
      <c r="B32" s="12">
        <v>-399.225</v>
      </c>
      <c r="C32" s="13"/>
      <c r="D32" s="12">
        <v>0</v>
      </c>
      <c r="E32" s="13"/>
      <c r="F32" s="12">
        <v>-220405.31</v>
      </c>
      <c r="G32" s="12">
        <f t="shared" si="5"/>
        <v>220405.31</v>
      </c>
      <c r="H32" s="12">
        <f t="shared" si="6"/>
        <v>-220.40531</v>
      </c>
      <c r="I32" s="12">
        <f t="shared" si="7"/>
        <v>178.81969000000004</v>
      </c>
      <c r="J32" s="12">
        <v>200</v>
      </c>
      <c r="K32" s="11">
        <f t="shared" si="8"/>
        <v>-21.180309999999963</v>
      </c>
    </row>
    <row r="33" spans="1:11" s="10" customFormat="1" ht="12.75" outlineLevel="1">
      <c r="A33" s="10" t="s">
        <v>29</v>
      </c>
      <c r="B33" s="12">
        <v>1165.306</v>
      </c>
      <c r="C33" s="13"/>
      <c r="D33" s="12">
        <f>769927.41+74266</f>
        <v>844193.41</v>
      </c>
      <c r="E33" s="13"/>
      <c r="F33" s="12">
        <v>0</v>
      </c>
      <c r="G33" s="12">
        <f t="shared" si="5"/>
        <v>0</v>
      </c>
      <c r="H33" s="12">
        <f t="shared" si="6"/>
        <v>844.1934100000001</v>
      </c>
      <c r="I33" s="12">
        <f t="shared" si="7"/>
        <v>-321.11258999999995</v>
      </c>
      <c r="J33" s="12">
        <v>-355</v>
      </c>
      <c r="K33" s="11">
        <f t="shared" si="8"/>
        <v>33.887410000000045</v>
      </c>
    </row>
    <row r="34" spans="1:11" s="10" customFormat="1" ht="12.75" outlineLevel="1">
      <c r="A34" s="27" t="s">
        <v>30</v>
      </c>
      <c r="B34" s="28">
        <v>158.696</v>
      </c>
      <c r="C34" s="13"/>
      <c r="D34" s="12">
        <v>0</v>
      </c>
      <c r="E34" s="13"/>
      <c r="F34" s="12">
        <v>0</v>
      </c>
      <c r="G34" s="12">
        <f t="shared" si="5"/>
        <v>0</v>
      </c>
      <c r="H34" s="12">
        <f t="shared" si="6"/>
        <v>0</v>
      </c>
      <c r="I34" s="12">
        <f t="shared" si="7"/>
        <v>-158.696</v>
      </c>
      <c r="J34" s="12">
        <v>-158.696</v>
      </c>
      <c r="K34" s="11">
        <f t="shared" si="8"/>
        <v>0</v>
      </c>
    </row>
    <row r="35" spans="1:11" s="10" customFormat="1" ht="12.75" outlineLevel="1">
      <c r="A35" s="26" t="s">
        <v>31</v>
      </c>
      <c r="B35" s="28">
        <f>(-485802+-47731+1739579+1138637)/1000</f>
        <v>2344.683</v>
      </c>
      <c r="C35" s="13"/>
      <c r="D35" s="12">
        <f>-448681.54+52269+49484+1428580+1138637</f>
        <v>2220288.46</v>
      </c>
      <c r="E35" s="13"/>
      <c r="F35" s="12">
        <v>0</v>
      </c>
      <c r="G35" s="12">
        <f t="shared" si="5"/>
        <v>0</v>
      </c>
      <c r="H35" s="12">
        <f t="shared" si="6"/>
        <v>2220.2884599999998</v>
      </c>
      <c r="I35" s="12">
        <f t="shared" si="7"/>
        <v>-124.39454000000023</v>
      </c>
      <c r="J35" s="12">
        <v>-217</v>
      </c>
      <c r="K35" s="11">
        <f t="shared" si="8"/>
        <v>92.60545999999977</v>
      </c>
    </row>
    <row r="36" spans="1:11" s="10" customFormat="1" ht="12.75" outlineLevel="1">
      <c r="A36" s="26" t="s">
        <v>32</v>
      </c>
      <c r="B36" s="28">
        <v>-1039.95</v>
      </c>
      <c r="C36" s="13"/>
      <c r="D36" s="12">
        <v>0</v>
      </c>
      <c r="E36" s="13"/>
      <c r="F36" s="12">
        <v>-708319.87</v>
      </c>
      <c r="G36" s="12">
        <f t="shared" si="5"/>
        <v>708319.87</v>
      </c>
      <c r="H36" s="12">
        <f t="shared" si="6"/>
        <v>-708.31987</v>
      </c>
      <c r="I36" s="12">
        <f t="shared" si="7"/>
        <v>331.63013</v>
      </c>
      <c r="J36" s="12">
        <v>376</v>
      </c>
      <c r="K36" s="11">
        <f t="shared" si="8"/>
        <v>-44.36986999999999</v>
      </c>
    </row>
    <row r="37" spans="1:11" s="10" customFormat="1" ht="12.75">
      <c r="A37" s="39" t="s">
        <v>33</v>
      </c>
      <c r="B37" s="40">
        <f>SUM(B26:B36)</f>
        <v>4728.3850000000075</v>
      </c>
      <c r="C37" s="18"/>
      <c r="D37" s="40">
        <f>SUM(D26:D36)</f>
        <v>81988130.73999998</v>
      </c>
      <c r="E37" s="18"/>
      <c r="F37" s="40">
        <f aca="true" t="shared" si="9" ref="F37:K37">SUM(F26:F36)</f>
        <v>-77038515.83999996</v>
      </c>
      <c r="G37" s="40">
        <f t="shared" si="9"/>
        <v>77038515.83999996</v>
      </c>
      <c r="H37" s="40">
        <f t="shared" si="9"/>
        <v>4949.614900000029</v>
      </c>
      <c r="I37" s="40">
        <f t="shared" si="9"/>
        <v>221.22990000002162</v>
      </c>
      <c r="J37" s="40">
        <f t="shared" si="9"/>
        <v>-278.529</v>
      </c>
      <c r="K37" s="40">
        <f t="shared" si="9"/>
        <v>499.75890000002164</v>
      </c>
    </row>
    <row r="38" spans="1:11" s="10" customFormat="1" ht="12.75">
      <c r="A38" s="26"/>
      <c r="B38" s="28"/>
      <c r="C38" s="13"/>
      <c r="D38" s="12"/>
      <c r="E38" s="13"/>
      <c r="F38" s="12"/>
      <c r="G38" s="12"/>
      <c r="H38" s="12"/>
      <c r="I38" s="12"/>
      <c r="J38" s="12"/>
      <c r="K38" s="11"/>
    </row>
    <row r="39" spans="1:11" s="10" customFormat="1" ht="12.75">
      <c r="A39" s="16" t="s">
        <v>34</v>
      </c>
      <c r="B39" s="21">
        <f>SUM(B22,B24,B37)</f>
        <v>27062.782999999945</v>
      </c>
      <c r="C39" s="29"/>
      <c r="D39" s="21">
        <f>SUM(D22,D24,D37)</f>
        <v>160058439.48999995</v>
      </c>
      <c r="E39" s="29"/>
      <c r="F39" s="21">
        <f aca="true" t="shared" si="10" ref="F39:K39">SUM(F22,F24,F37)</f>
        <v>-133244721.16999997</v>
      </c>
      <c r="G39" s="21">
        <f t="shared" si="10"/>
        <v>133244721.16999997</v>
      </c>
      <c r="H39" s="21">
        <f t="shared" si="10"/>
        <v>26813.71831999999</v>
      </c>
      <c r="I39" s="21">
        <f t="shared" si="10"/>
        <v>-249.06467999995883</v>
      </c>
      <c r="J39" s="21">
        <f t="shared" si="10"/>
        <v>-74.846</v>
      </c>
      <c r="K39" s="21">
        <f t="shared" si="10"/>
        <v>-174.21867999995914</v>
      </c>
    </row>
    <row r="40" spans="1:11" s="10" customFormat="1" ht="12.75">
      <c r="A40" s="10" t="s">
        <v>35</v>
      </c>
      <c r="B40" s="11">
        <v>1255.877</v>
      </c>
      <c r="C40" s="13"/>
      <c r="D40" s="12">
        <v>1255877</v>
      </c>
      <c r="E40" s="13"/>
      <c r="F40" s="12">
        <v>0</v>
      </c>
      <c r="G40" s="12">
        <f>-F40</f>
        <v>0</v>
      </c>
      <c r="H40" s="12">
        <f>(D40+F40)/1000</f>
        <v>1255.877</v>
      </c>
      <c r="I40" s="12">
        <f>H40-B40</f>
        <v>0</v>
      </c>
      <c r="J40" s="12">
        <v>0</v>
      </c>
      <c r="K40" s="11">
        <f>+I40-J40</f>
        <v>0</v>
      </c>
    </row>
    <row r="41" spans="1:11" s="10" customFormat="1" ht="12.75">
      <c r="A41" s="16" t="s">
        <v>36</v>
      </c>
      <c r="B41" s="21">
        <f>SUM(B39:B40)</f>
        <v>28318.659999999945</v>
      </c>
      <c r="C41" s="18"/>
      <c r="D41" s="21">
        <f>SUM(D39:D40)</f>
        <v>161314316.48999995</v>
      </c>
      <c r="E41" s="18"/>
      <c r="F41" s="21">
        <f aca="true" t="shared" si="11" ref="F41:K41">SUM(F39:F40)</f>
        <v>-133244721.16999997</v>
      </c>
      <c r="G41" s="21">
        <f t="shared" si="11"/>
        <v>133244721.16999997</v>
      </c>
      <c r="H41" s="21">
        <f t="shared" si="11"/>
        <v>28069.59531999999</v>
      </c>
      <c r="I41" s="21">
        <f t="shared" si="11"/>
        <v>-249.06467999995883</v>
      </c>
      <c r="J41" s="21">
        <f t="shared" si="11"/>
        <v>-74.846</v>
      </c>
      <c r="K41" s="21">
        <f t="shared" si="11"/>
        <v>-174.21867999995914</v>
      </c>
    </row>
    <row r="42" spans="2:11" s="10" customFormat="1" ht="12.75">
      <c r="B42" s="11"/>
      <c r="C42" s="13"/>
      <c r="D42" s="12"/>
      <c r="E42" s="13"/>
      <c r="F42" s="12"/>
      <c r="G42" s="12"/>
      <c r="H42" s="12"/>
      <c r="I42" s="12"/>
      <c r="J42" s="12"/>
      <c r="K42" s="30"/>
    </row>
    <row r="43" spans="1:11" s="10" customFormat="1" ht="12.75">
      <c r="A43" s="10" t="s">
        <v>37</v>
      </c>
      <c r="B43" s="11">
        <v>-16765.684</v>
      </c>
      <c r="C43" s="13"/>
      <c r="D43" s="12"/>
      <c r="E43" s="13"/>
      <c r="F43" s="12">
        <f>-2125968+-14640716</f>
        <v>-16766684</v>
      </c>
      <c r="G43" s="12">
        <f aca="true" t="shared" si="12" ref="G43:G48">-F43</f>
        <v>16766684</v>
      </c>
      <c r="H43" s="12">
        <f>(D43+F43)/1000</f>
        <v>-16766.684</v>
      </c>
      <c r="I43" s="12">
        <f>(H43-B43)+0.4</f>
        <v>-0.6</v>
      </c>
      <c r="J43" s="12">
        <v>0</v>
      </c>
      <c r="K43" s="11">
        <f aca="true" t="shared" si="13" ref="K43:K48">+I43-J43</f>
        <v>-0.6</v>
      </c>
    </row>
    <row r="44" spans="1:11" s="10" customFormat="1" ht="12.75">
      <c r="A44" s="10" t="s">
        <v>54</v>
      </c>
      <c r="B44" s="11">
        <v>-12446.517</v>
      </c>
      <c r="C44" s="13"/>
      <c r="D44" s="12">
        <v>0</v>
      </c>
      <c r="E44" s="13"/>
      <c r="F44" s="12">
        <v>-12557692</v>
      </c>
      <c r="G44" s="12">
        <f t="shared" si="12"/>
        <v>12557692</v>
      </c>
      <c r="H44" s="12">
        <f>(D44+F44)/1000</f>
        <v>-12557.692</v>
      </c>
      <c r="I44" s="12">
        <f>(H44-B44)+0.4</f>
        <v>-110.77499999999927</v>
      </c>
      <c r="J44" s="12">
        <v>0</v>
      </c>
      <c r="K44" s="11">
        <f t="shared" si="13"/>
        <v>-110.77499999999927</v>
      </c>
    </row>
    <row r="45" spans="1:11" s="10" customFormat="1" ht="12.75">
      <c r="A45" s="10" t="s">
        <v>38</v>
      </c>
      <c r="B45" s="11">
        <v>171.601</v>
      </c>
      <c r="C45" s="13"/>
      <c r="D45" s="12">
        <v>196600</v>
      </c>
      <c r="E45" s="13"/>
      <c r="F45" s="12">
        <v>0</v>
      </c>
      <c r="G45" s="12">
        <f t="shared" si="12"/>
        <v>0</v>
      </c>
      <c r="H45" s="12">
        <f>(D45+F45)/1000</f>
        <v>196.6</v>
      </c>
      <c r="I45" s="12">
        <f>(H45-B45)+0.4</f>
        <v>25.398999999999994</v>
      </c>
      <c r="J45" s="12">
        <v>10</v>
      </c>
      <c r="K45" s="11">
        <f t="shared" si="13"/>
        <v>15.398999999999994</v>
      </c>
    </row>
    <row r="46" spans="1:11" s="10" customFormat="1" ht="12.75">
      <c r="A46" s="10" t="s">
        <v>39</v>
      </c>
      <c r="B46" s="11">
        <v>-100</v>
      </c>
      <c r="C46" s="13"/>
      <c r="D46" s="12"/>
      <c r="E46" s="13"/>
      <c r="F46" s="12"/>
      <c r="G46" s="12">
        <f t="shared" si="12"/>
        <v>0</v>
      </c>
      <c r="H46" s="12">
        <f>(D46+F46)/1000</f>
        <v>0</v>
      </c>
      <c r="I46" s="12">
        <f>(H46-B46)+0.4</f>
        <v>100.4</v>
      </c>
      <c r="J46" s="12">
        <v>100</v>
      </c>
      <c r="K46" s="11">
        <f t="shared" si="13"/>
        <v>0.4000000000000057</v>
      </c>
    </row>
    <row r="47" spans="1:11" s="10" customFormat="1" ht="12.75">
      <c r="A47" s="10" t="s">
        <v>40</v>
      </c>
      <c r="B47" s="11">
        <v>0</v>
      </c>
      <c r="C47" s="13"/>
      <c r="D47" s="12"/>
      <c r="E47" s="13"/>
      <c r="F47" s="12"/>
      <c r="G47" s="12">
        <f t="shared" si="12"/>
        <v>0</v>
      </c>
      <c r="H47" s="12">
        <f>(D47+F47)/1000</f>
        <v>0</v>
      </c>
      <c r="I47" s="12">
        <f>H47-B47</f>
        <v>0</v>
      </c>
      <c r="J47" s="12">
        <v>-111</v>
      </c>
      <c r="K47" s="11">
        <f t="shared" si="13"/>
        <v>111</v>
      </c>
    </row>
    <row r="48" spans="1:11" s="10" customFormat="1" ht="12.75">
      <c r="A48" s="10" t="s">
        <v>41</v>
      </c>
      <c r="B48" s="12">
        <f>((18395+1365879+-561332)/1000)+1</f>
        <v>823.942</v>
      </c>
      <c r="C48" s="13"/>
      <c r="D48" s="12">
        <f>31190+1353344.3+-561332</f>
        <v>823202.3</v>
      </c>
      <c r="E48" s="13"/>
      <c r="F48" s="12"/>
      <c r="G48" s="12">
        <f t="shared" si="12"/>
        <v>0</v>
      </c>
      <c r="H48" s="12">
        <f>((D48+F48)/1000)+1</f>
        <v>824.2023</v>
      </c>
      <c r="I48" s="12">
        <f>H48-B48</f>
        <v>0.2603000000000293</v>
      </c>
      <c r="J48" s="12">
        <v>0</v>
      </c>
      <c r="K48" s="11">
        <f t="shared" si="13"/>
        <v>0.2603000000000293</v>
      </c>
    </row>
    <row r="49" spans="2:11" s="10" customFormat="1" ht="12.75">
      <c r="B49" s="11"/>
      <c r="C49" s="13"/>
      <c r="D49" s="12"/>
      <c r="E49" s="13"/>
      <c r="F49" s="12"/>
      <c r="G49" s="12"/>
      <c r="H49" s="12"/>
      <c r="I49" s="12"/>
      <c r="J49" s="12"/>
      <c r="K49" s="30"/>
    </row>
    <row r="50" spans="1:11" s="10" customFormat="1" ht="12.75">
      <c r="A50" s="16" t="s">
        <v>42</v>
      </c>
      <c r="B50" s="21">
        <f>SUM(B43:B48)-2</f>
        <v>-28318.658000000003</v>
      </c>
      <c r="C50" s="29"/>
      <c r="D50" s="21">
        <f>SUM(D43:D48)</f>
        <v>1019802.3</v>
      </c>
      <c r="E50" s="29"/>
      <c r="F50" s="21">
        <f aca="true" t="shared" si="14" ref="F50:K50">SUM(F43:F48)</f>
        <v>-29324376</v>
      </c>
      <c r="G50" s="21">
        <f t="shared" si="14"/>
        <v>29324376</v>
      </c>
      <c r="H50" s="21">
        <f t="shared" si="14"/>
        <v>-28303.5737</v>
      </c>
      <c r="I50" s="21">
        <f t="shared" si="14"/>
        <v>14.684300000000775</v>
      </c>
      <c r="J50" s="21">
        <f t="shared" si="14"/>
        <v>-1</v>
      </c>
      <c r="K50" s="21">
        <f t="shared" si="14"/>
        <v>15.684300000000775</v>
      </c>
    </row>
    <row r="51" spans="1:11" s="10" customFormat="1" ht="12.75">
      <c r="A51" s="31"/>
      <c r="B51" s="32"/>
      <c r="C51" s="34"/>
      <c r="D51" s="33"/>
      <c r="E51" s="34"/>
      <c r="F51" s="33"/>
      <c r="G51" s="33"/>
      <c r="H51" s="33"/>
      <c r="I51" s="32"/>
      <c r="J51" s="32"/>
      <c r="K51" s="35"/>
    </row>
    <row r="52" spans="1:11" s="3" customFormat="1" ht="12.75">
      <c r="A52" s="16" t="s">
        <v>43</v>
      </c>
      <c r="B52" s="21">
        <f>B41+B50</f>
        <v>0.0019999999421997927</v>
      </c>
      <c r="C52" s="25"/>
      <c r="D52" s="21">
        <f>D41+D50</f>
        <v>162334118.78999996</v>
      </c>
      <c r="E52" s="25"/>
      <c r="F52" s="21">
        <f aca="true" t="shared" si="15" ref="F52:K52">F41+F50</f>
        <v>-162569097.16999996</v>
      </c>
      <c r="G52" s="21">
        <f t="shared" si="15"/>
        <v>162569097.16999996</v>
      </c>
      <c r="H52" s="21">
        <f t="shared" si="15"/>
        <v>-233.97838000001138</v>
      </c>
      <c r="I52" s="21">
        <f t="shared" si="15"/>
        <v>-234.38037999995805</v>
      </c>
      <c r="J52" s="21">
        <f t="shared" si="15"/>
        <v>-75.846</v>
      </c>
      <c r="K52" s="21">
        <f t="shared" si="15"/>
        <v>-158.53437999995836</v>
      </c>
    </row>
    <row r="53" spans="2:11" ht="12.75">
      <c r="B53" s="37"/>
      <c r="C53" s="53"/>
      <c r="D53" s="37"/>
      <c r="E53" s="53"/>
      <c r="F53" s="37"/>
      <c r="G53" s="37"/>
      <c r="H53" s="37"/>
      <c r="I53" s="37"/>
      <c r="J53" s="37"/>
      <c r="K53" s="36"/>
    </row>
    <row r="54" spans="4:8" ht="12.75">
      <c r="D54" s="19"/>
      <c r="F54" s="19"/>
      <c r="G54" s="19"/>
      <c r="H54" s="19"/>
    </row>
    <row r="55" ht="12.75">
      <c r="A55" s="41" t="s">
        <v>48</v>
      </c>
    </row>
    <row r="56" spans="2:12" ht="12.75">
      <c r="B56" s="6"/>
      <c r="C56" s="19"/>
      <c r="D56" s="19"/>
      <c r="E56" s="19"/>
      <c r="F56" s="19"/>
      <c r="G56" s="19"/>
      <c r="H56" s="6"/>
      <c r="I56" s="6"/>
      <c r="J56" s="6"/>
      <c r="K56" s="42"/>
      <c r="L56" s="43"/>
    </row>
    <row r="57" spans="1:11" ht="12.75">
      <c r="A57" s="43" t="s">
        <v>49</v>
      </c>
      <c r="B57" s="44">
        <v>3140</v>
      </c>
      <c r="C57" s="44"/>
      <c r="D57" s="44"/>
      <c r="E57" s="44"/>
      <c r="F57" s="44"/>
      <c r="G57" s="54"/>
      <c r="H57" s="19"/>
      <c r="I57" s="43"/>
      <c r="J57" s="43"/>
      <c r="K57" s="55"/>
    </row>
    <row r="58" spans="1:11" ht="12.75">
      <c r="A58" s="43" t="s">
        <v>50</v>
      </c>
      <c r="B58" s="44">
        <v>1256</v>
      </c>
      <c r="C58" s="44"/>
      <c r="D58" s="44"/>
      <c r="E58" s="44"/>
      <c r="F58" s="44"/>
      <c r="G58" s="54"/>
      <c r="H58" s="19"/>
      <c r="I58" s="43"/>
      <c r="J58" s="43"/>
      <c r="K58" s="55"/>
    </row>
    <row r="59" spans="1:11" ht="12.75">
      <c r="A59" s="43" t="s">
        <v>51</v>
      </c>
      <c r="B59" s="44">
        <f>+B58+B57</f>
        <v>4396</v>
      </c>
      <c r="C59" s="44"/>
      <c r="D59" s="44"/>
      <c r="E59" s="44"/>
      <c r="F59" s="44"/>
      <c r="G59" s="54"/>
      <c r="H59" s="19"/>
      <c r="I59" s="43"/>
      <c r="J59" s="43"/>
      <c r="K59" s="55"/>
    </row>
    <row r="60" spans="8:11" ht="12.75">
      <c r="H60" s="19"/>
      <c r="I60" s="43"/>
      <c r="J60" s="43"/>
      <c r="K60" s="55"/>
    </row>
    <row r="61" spans="8:11" ht="12.75">
      <c r="H61" s="19"/>
      <c r="I61" s="43"/>
      <c r="J61" s="43"/>
      <c r="K61" s="55"/>
    </row>
  </sheetData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&amp;CGeneral Fund Revenue Account&amp;RAppendix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- General Fund Outturn</dc:title>
  <dc:subject/>
  <dc:creator>Oxfordshire City Council</dc:creator>
  <cp:keywords>Council meetings;Government, politics and public administration; Local government; Decision making; Council meetings;</cp:keywords>
  <dc:description/>
  <cp:lastModifiedBy>Martin Westmoreland</cp:lastModifiedBy>
  <cp:lastPrinted>2011-06-08T08:13:33Z</cp:lastPrinted>
  <dcterms:created xsi:type="dcterms:W3CDTF">2011-06-07T13:29:17Z</dcterms:created>
  <dcterms:modified xsi:type="dcterms:W3CDTF">2011-06-09T12:41:57Z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